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thy.Rouleau\Documents\Net Pay Calculator\"/>
    </mc:Choice>
  </mc:AlternateContent>
  <workbookProtection workbookPassword="CB01" lockStructure="1"/>
  <bookViews>
    <workbookView xWindow="0" yWindow="0" windowWidth="20325" windowHeight="11520"/>
  </bookViews>
  <sheets>
    <sheet name="TaxCalc" sheetId="1" r:id="rId1"/>
    <sheet name="Instructions" sheetId="4" r:id="rId2"/>
  </sheets>
  <definedNames>
    <definedName name="AddlFed">TaxCalc!$D$11</definedName>
    <definedName name="AddlVT">TaxCalc!$D$12</definedName>
    <definedName name="FedMarried">TaxCalc!$J$68:$N$75</definedName>
    <definedName name="FedMTaxes">TaxCalc!$I$60</definedName>
    <definedName name="FedSingle">TaxCalc!$J$79:$N$86</definedName>
    <definedName name="FedStat">TaxCalc!$E$8</definedName>
    <definedName name="FedSTaxes">TaxCalc!$I$61</definedName>
    <definedName name="FedWages">TaxCalc!$D$56</definedName>
    <definedName name="Gross">TaxCalc!$D$16</definedName>
    <definedName name="Periods">TaxCalc!$D$13</definedName>
    <definedName name="_xlnm.Print_Area" localSheetId="0">TaxCalc!$A$1:$H$46</definedName>
    <definedName name="SSWages">TaxCalc!$D$34</definedName>
    <definedName name="TotalDeds">TaxCalc!$D$30</definedName>
    <definedName name="TotalTaxes">TaxCalc!$D$42</definedName>
    <definedName name="VTMarried">TaxCalc!$J$90:$N$95</definedName>
    <definedName name="VTMTaxes">TaxCalc!$I$62</definedName>
    <definedName name="VTSingle">TaxCalc!$J$99:$N$104</definedName>
    <definedName name="VTStat">TaxCalc!$E$9</definedName>
    <definedName name="VTSTaxes">TaxCalc!$I$63</definedName>
    <definedName name="VTWages">TaxCalc!$D$57</definedName>
  </definedNames>
  <calcPr calcId="162913"/>
</workbook>
</file>

<file path=xl/calcChain.xml><?xml version="1.0" encoding="utf-8"?>
<calcChain xmlns="http://schemas.openxmlformats.org/spreadsheetml/2006/main">
  <c r="K68" i="1" l="1"/>
  <c r="N69" i="1" s="1"/>
  <c r="K100" i="1"/>
  <c r="N101" i="1" s="1"/>
  <c r="K101" i="1"/>
  <c r="N102" i="1" s="1"/>
  <c r="K102" i="1"/>
  <c r="N103" i="1" s="1"/>
  <c r="K103" i="1"/>
  <c r="N104" i="1"/>
  <c r="K91" i="1"/>
  <c r="N92" i="1" s="1"/>
  <c r="K92" i="1"/>
  <c r="N93" i="1" s="1"/>
  <c r="K93" i="1"/>
  <c r="N94" i="1"/>
  <c r="K94" i="1"/>
  <c r="N95" i="1" s="1"/>
  <c r="K90" i="1"/>
  <c r="N91" i="1" s="1"/>
  <c r="O91" i="1"/>
  <c r="L92" i="1" s="1"/>
  <c r="K80" i="1"/>
  <c r="N81" i="1" s="1"/>
  <c r="K81" i="1"/>
  <c r="N82" i="1"/>
  <c r="K82" i="1"/>
  <c r="N83" i="1" s="1"/>
  <c r="K83" i="1"/>
  <c r="N84" i="1" s="1"/>
  <c r="K84" i="1"/>
  <c r="N85" i="1"/>
  <c r="K85" i="1"/>
  <c r="N86" i="1" s="1"/>
  <c r="K79" i="1"/>
  <c r="N80" i="1" s="1"/>
  <c r="K69" i="1"/>
  <c r="N70" i="1" s="1"/>
  <c r="K70" i="1"/>
  <c r="N71" i="1"/>
  <c r="K71" i="1"/>
  <c r="K72" i="1"/>
  <c r="N73" i="1" s="1"/>
  <c r="K73" i="1"/>
  <c r="N74" i="1" s="1"/>
  <c r="K74" i="1"/>
  <c r="N75" i="1" s="1"/>
  <c r="L69" i="1"/>
  <c r="B6" i="1"/>
  <c r="L100" i="1"/>
  <c r="L91" i="1"/>
  <c r="L80" i="1"/>
  <c r="D34" i="1"/>
  <c r="D39" i="1" s="1"/>
  <c r="D30" i="1"/>
  <c r="K99" i="1"/>
  <c r="N100" i="1" s="1"/>
  <c r="N72" i="1"/>
  <c r="O92" i="1"/>
  <c r="L93" i="1" s="1"/>
  <c r="O69" i="1" l="1"/>
  <c r="O70" i="1" s="1"/>
  <c r="L71" i="1" s="1"/>
  <c r="D35" i="1"/>
  <c r="D36" i="1" s="1"/>
  <c r="D57" i="1" s="1"/>
  <c r="D62" i="1" s="1"/>
  <c r="D37" i="1"/>
  <c r="D38" i="1"/>
  <c r="L70" i="1"/>
  <c r="O71" i="1"/>
  <c r="O72" i="1" s="1"/>
  <c r="O80" i="1"/>
  <c r="L81" i="1" s="1"/>
  <c r="O100" i="1"/>
  <c r="O93" i="1"/>
  <c r="O81" i="1" l="1"/>
  <c r="F63" i="1"/>
  <c r="E63" i="1"/>
  <c r="F62" i="1"/>
  <c r="D63" i="1"/>
  <c r="E62" i="1"/>
  <c r="D56" i="1"/>
  <c r="D60" i="1" s="1"/>
  <c r="L72" i="1"/>
  <c r="O82" i="1"/>
  <c r="L82" i="1"/>
  <c r="L73" i="1"/>
  <c r="O73" i="1"/>
  <c r="O101" i="1"/>
  <c r="L101" i="1"/>
  <c r="L94" i="1"/>
  <c r="O94" i="1"/>
  <c r="L95" i="1" s="1"/>
  <c r="E60" i="1" l="1"/>
  <c r="H63" i="1"/>
  <c r="I63" i="1" s="1"/>
  <c r="H62" i="1"/>
  <c r="I62" i="1" s="1"/>
  <c r="E61" i="1"/>
  <c r="F60" i="1"/>
  <c r="H60" i="1" s="1"/>
  <c r="I60" i="1" s="1"/>
  <c r="F61" i="1"/>
  <c r="D61" i="1"/>
  <c r="O102" i="1"/>
  <c r="L102" i="1"/>
  <c r="L83" i="1"/>
  <c r="O83" i="1"/>
  <c r="L74" i="1"/>
  <c r="O74" i="1"/>
  <c r="L75" i="1" s="1"/>
  <c r="D41" i="1" l="1"/>
  <c r="H61" i="1"/>
  <c r="I61" i="1" s="1"/>
  <c r="D40" i="1" s="1"/>
  <c r="D42" i="1" s="1"/>
  <c r="D44" i="1" s="1"/>
  <c r="O103" i="1"/>
  <c r="L104" i="1" s="1"/>
  <c r="L103" i="1"/>
  <c r="L84" i="1"/>
  <c r="O84" i="1"/>
  <c r="L85" i="1" l="1"/>
  <c r="O85" i="1"/>
  <c r="L86" i="1" s="1"/>
</calcChain>
</file>

<file path=xl/sharedStrings.xml><?xml version="1.0" encoding="utf-8"?>
<sst xmlns="http://schemas.openxmlformats.org/spreadsheetml/2006/main" count="97" uniqueCount="69">
  <si>
    <t>Gross Wages:</t>
  </si>
  <si>
    <t>Exemptions:</t>
  </si>
  <si>
    <t>Name:</t>
  </si>
  <si>
    <t>Federal Filing Status:</t>
  </si>
  <si>
    <t>VT Filing Status:</t>
  </si>
  <si>
    <t>Deductions:</t>
  </si>
  <si>
    <t>Pre-Tax (Y/N)?</t>
  </si>
  <si>
    <t xml:space="preserve">   FSA Health Care:</t>
  </si>
  <si>
    <t xml:space="preserve">   FSA Dependent:</t>
  </si>
  <si>
    <t xml:space="preserve">   Retirement:</t>
  </si>
  <si>
    <t xml:space="preserve">   Credit Union:</t>
  </si>
  <si>
    <t xml:space="preserve">   Life Insurance:</t>
  </si>
  <si>
    <t xml:space="preserve">   Deferred Income:</t>
  </si>
  <si>
    <t xml:space="preserve">   Repay Advances:</t>
  </si>
  <si>
    <t xml:space="preserve">   Other:</t>
  </si>
  <si>
    <t>Amount</t>
  </si>
  <si>
    <t>(M)arried/(S)ingle:</t>
  </si>
  <si>
    <t>M</t>
  </si>
  <si>
    <t>S</t>
  </si>
  <si>
    <t>Y</t>
  </si>
  <si>
    <t>N</t>
  </si>
  <si>
    <t xml:space="preserve">   Medical Insurance:</t>
  </si>
  <si>
    <t>(Pre-Tax)</t>
  </si>
  <si>
    <t>Life Ins. Taxable Wages:</t>
  </si>
  <si>
    <t>Social Sec. Wages:</t>
  </si>
  <si>
    <t>(Pre-Tax/SS)</t>
  </si>
  <si>
    <t>Federal Txbl. Wages:</t>
  </si>
  <si>
    <t>Additional Fed. Tax:</t>
  </si>
  <si>
    <t>Additional VT. Tax:</t>
  </si>
  <si>
    <t>Pay Periods</t>
  </si>
  <si>
    <t>Annl Fed. Txbl Wages</t>
  </si>
  <si>
    <t>Annl VT Txbl Wages</t>
  </si>
  <si>
    <t>Fed Married Taxes</t>
  </si>
  <si>
    <t>Fed Single Taxes</t>
  </si>
  <si>
    <t>VT Married Taxes</t>
  </si>
  <si>
    <t>VT Single Taxes</t>
  </si>
  <si>
    <t>Min</t>
  </si>
  <si>
    <t>Max</t>
  </si>
  <si>
    <t>Pct</t>
  </si>
  <si>
    <t>Of Over</t>
  </si>
  <si>
    <t>Federal Married</t>
  </si>
  <si>
    <t>Flat Amt</t>
  </si>
  <si>
    <t>Total Tax</t>
  </si>
  <si>
    <t>Federal Single</t>
  </si>
  <si>
    <t>PP Tax</t>
  </si>
  <si>
    <t>Vermont Married</t>
  </si>
  <si>
    <t>Vermont Single</t>
  </si>
  <si>
    <t>Federal Taxes:</t>
  </si>
  <si>
    <t>Vermont Taxes:</t>
  </si>
  <si>
    <t>Total Dedutctions</t>
  </si>
  <si>
    <t>Total Taxes:</t>
  </si>
  <si>
    <t>Net Pay</t>
  </si>
  <si>
    <t xml:space="preserve">  </t>
  </si>
  <si>
    <t>Instructions:</t>
  </si>
  <si>
    <t>Fill in the yellow boxes with your pay check information, the spreadsheet will calculate your pay.  If you don't know your Life Insurance Taxable wages then just leave it blank, it will not affect your net pay much.</t>
  </si>
  <si>
    <t>**** This is an estimate only. ****</t>
  </si>
  <si>
    <t>For Vermont State Employees</t>
  </si>
  <si>
    <t xml:space="preserve">  * Estimated</t>
  </si>
  <si>
    <t>Social Security Taxes: *</t>
  </si>
  <si>
    <t>Fed Exmt. Allow.</t>
  </si>
  <si>
    <t>State Txbl. Wages</t>
  </si>
  <si>
    <t>VT Exmt. Allow.</t>
  </si>
  <si>
    <t xml:space="preserve">       Medicare</t>
  </si>
  <si>
    <t xml:space="preserve">       Disability</t>
  </si>
  <si>
    <t>Work Area</t>
  </si>
  <si>
    <t xml:space="preserve">   VT Shares:</t>
  </si>
  <si>
    <t xml:space="preserve">   Union Dues:</t>
  </si>
  <si>
    <t>Net Pay Calculator - 2016</t>
  </si>
  <si>
    <t>Version: 1/7/2016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</si>
</sst>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9" x14ac:knownFonts="1">
    <font>
      <sz val="10"/>
      <name val="Arial"/>
    </font>
    <font>
      <sz val="10"/>
      <name val="Arial"/>
    </font>
    <font>
      <b/>
      <sz val="10"/>
      <name val="Arial"/>
      <family val="2"/>
    </font>
    <font>
      <sz val="14"/>
      <name val="Arial"/>
      <family val="2"/>
    </font>
    <font>
      <b/>
      <sz val="14"/>
      <name val="Arial"/>
      <family val="2"/>
    </font>
    <font>
      <sz val="8"/>
      <name val="Arial"/>
      <family val="2"/>
    </font>
    <font>
      <i/>
      <sz val="10"/>
      <name val="Arial"/>
      <family val="2"/>
    </font>
    <font>
      <sz val="10"/>
      <name val="Arial"/>
      <family val="2"/>
    </font>
    <font>
      <sz val="10"/>
      <name val="Arial"/>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0" borderId="0" xfId="0" applyAlignment="1">
      <alignment wrapText="1"/>
    </xf>
    <xf numFmtId="0" fontId="0" fillId="0" borderId="0" xfId="0" applyAlignment="1">
      <alignment horizontal="center"/>
    </xf>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3" xfId="0" applyFont="1" applyBorder="1" applyAlignment="1">
      <alignment horizontal="center"/>
    </xf>
    <xf numFmtId="0" fontId="0" fillId="0" borderId="4" xfId="0" applyBorder="1"/>
    <xf numFmtId="0" fontId="0" fillId="0" borderId="0" xfId="0" applyFill="1" applyBorder="1" applyAlignment="1">
      <alignment horizontal="center"/>
    </xf>
    <xf numFmtId="44" fontId="0" fillId="0" borderId="0" xfId="0" applyNumberFormat="1"/>
    <xf numFmtId="44" fontId="0" fillId="0" borderId="0" xfId="1" applyFont="1"/>
    <xf numFmtId="164" fontId="0" fillId="0" borderId="0" xfId="2" applyNumberFormat="1" applyFont="1"/>
    <xf numFmtId="44" fontId="2" fillId="0" borderId="0" xfId="1" applyFont="1"/>
    <xf numFmtId="164" fontId="2" fillId="0" borderId="0" xfId="2" applyNumberFormat="1" applyFont="1"/>
    <xf numFmtId="10" fontId="0" fillId="0" borderId="0" xfId="2" applyNumberFormat="1" applyFont="1"/>
    <xf numFmtId="44" fontId="2" fillId="0" borderId="0" xfId="0" applyNumberFormat="1" applyFont="1" applyAlignment="1">
      <alignment horizontal="center"/>
    </xf>
    <xf numFmtId="10" fontId="2" fillId="0" borderId="0" xfId="2" applyNumberFormat="1" applyFont="1"/>
    <xf numFmtId="44" fontId="2" fillId="0" borderId="0" xfId="0" applyNumberFormat="1" applyFont="1"/>
    <xf numFmtId="0" fontId="4" fillId="0" borderId="0" xfId="0" applyFont="1" applyAlignment="1">
      <alignment horizontal="center"/>
    </xf>
    <xf numFmtId="0" fontId="0" fillId="0" borderId="0" xfId="0" applyProtection="1">
      <protection hidden="1"/>
    </xf>
    <xf numFmtId="49" fontId="0" fillId="2" borderId="5" xfId="0" applyNumberFormat="1" applyFill="1" applyBorder="1" applyAlignment="1" applyProtection="1">
      <alignment horizontal="center"/>
      <protection locked="0"/>
    </xf>
    <xf numFmtId="0" fontId="0" fillId="2" borderId="5" xfId="0" applyFill="1" applyBorder="1" applyAlignment="1" applyProtection="1">
      <alignment horizontal="center"/>
      <protection locked="0"/>
    </xf>
    <xf numFmtId="44" fontId="0" fillId="2" borderId="5" xfId="1" applyFont="1" applyFill="1" applyBorder="1" applyProtection="1">
      <protection locked="0"/>
    </xf>
    <xf numFmtId="0" fontId="0" fillId="2" borderId="5" xfId="0" applyFill="1" applyBorder="1" applyProtection="1">
      <protection locked="0"/>
    </xf>
    <xf numFmtId="44" fontId="0" fillId="2" borderId="6" xfId="1" applyFont="1" applyFill="1" applyBorder="1" applyProtection="1">
      <protection locked="0"/>
    </xf>
    <xf numFmtId="0" fontId="3" fillId="0" borderId="1" xfId="0" applyFont="1" applyBorder="1"/>
    <xf numFmtId="0" fontId="3" fillId="0" borderId="2" xfId="0" applyFont="1" applyBorder="1"/>
    <xf numFmtId="44" fontId="3" fillId="0" borderId="3" xfId="1" applyFont="1" applyBorder="1"/>
    <xf numFmtId="0" fontId="0" fillId="0" borderId="0" xfId="0" applyAlignment="1">
      <alignment horizontal="left" vertical="top" wrapText="1"/>
    </xf>
    <xf numFmtId="14" fontId="0" fillId="0" borderId="0" xfId="0" applyNumberFormat="1" applyAlignment="1">
      <alignment horizontal="left"/>
    </xf>
    <xf numFmtId="0" fontId="0" fillId="0" borderId="0" xfId="0" applyAlignment="1">
      <alignment horizontal="left"/>
    </xf>
    <xf numFmtId="0" fontId="5" fillId="0" borderId="0" xfId="0" applyFont="1"/>
    <xf numFmtId="0" fontId="6" fillId="0" borderId="0" xfId="0" applyFont="1"/>
    <xf numFmtId="44" fontId="7" fillId="3" borderId="0" xfId="1" applyFont="1" applyFill="1"/>
    <xf numFmtId="164" fontId="7" fillId="3" borderId="0" xfId="2" applyNumberFormat="1" applyFont="1" applyFill="1"/>
    <xf numFmtId="44" fontId="0" fillId="0" borderId="0" xfId="1" applyFont="1" applyFill="1"/>
    <xf numFmtId="44" fontId="8" fillId="0" borderId="0" xfId="1" applyFont="1" applyFill="1"/>
    <xf numFmtId="10" fontId="7" fillId="3" borderId="0" xfId="2" applyNumberFormat="1" applyFont="1" applyFill="1"/>
    <xf numFmtId="14" fontId="0" fillId="0" borderId="0" xfId="0" applyNumberFormat="1"/>
    <xf numFmtId="0" fontId="8" fillId="0" borderId="0" xfId="0" applyFont="1"/>
    <xf numFmtId="0" fontId="4" fillId="0" borderId="0" xfId="0" applyFont="1" applyAlignment="1">
      <alignment horizontal="center"/>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tabSelected="1" workbookViewId="0">
      <selection activeCell="E8" sqref="E8"/>
    </sheetView>
  </sheetViews>
  <sheetFormatPr defaultRowHeight="12.75" x14ac:dyDescent="0.2"/>
  <cols>
    <col min="1" max="1" width="4.140625" customWidth="1"/>
    <col min="2" max="2" width="18.28515625" bestFit="1" customWidth="1"/>
    <col min="3" max="3" width="3.85546875" customWidth="1"/>
    <col min="4" max="4" width="18.85546875" bestFit="1" customWidth="1"/>
    <col min="5" max="5" width="7.7109375" style="2" customWidth="1"/>
    <col min="6" max="6" width="13.28515625" bestFit="1" customWidth="1"/>
    <col min="7" max="7" width="5.28515625" style="2" customWidth="1"/>
    <col min="8" max="8" width="11.42578125" bestFit="1" customWidth="1"/>
    <col min="9" max="10" width="12.42578125" hidden="1" customWidth="1"/>
    <col min="11" max="11" width="15.140625" hidden="1" customWidth="1"/>
    <col min="12" max="12" width="12.28515625" hidden="1" customWidth="1"/>
    <col min="13" max="13" width="7.85546875" hidden="1" customWidth="1"/>
    <col min="14" max="14" width="12.42578125" customWidth="1"/>
    <col min="15" max="15" width="15" customWidth="1"/>
    <col min="16" max="16" width="11.28515625" customWidth="1"/>
  </cols>
  <sheetData>
    <row r="1" spans="1:16" ht="18" x14ac:dyDescent="0.25">
      <c r="A1" s="41" t="s">
        <v>67</v>
      </c>
      <c r="B1" s="41"/>
      <c r="C1" s="41"/>
      <c r="D1" s="41"/>
      <c r="E1" s="41"/>
      <c r="F1" s="41"/>
      <c r="G1" s="41"/>
      <c r="H1" s="41"/>
      <c r="I1" s="19"/>
    </row>
    <row r="2" spans="1:16" ht="18" x14ac:dyDescent="0.25">
      <c r="A2" s="41" t="s">
        <v>56</v>
      </c>
      <c r="B2" s="41"/>
      <c r="C2" s="41"/>
      <c r="D2" s="41"/>
      <c r="E2" s="41"/>
      <c r="F2" s="41"/>
      <c r="G2" s="41"/>
      <c r="H2" s="41"/>
      <c r="I2" s="19"/>
    </row>
    <row r="3" spans="1:16" ht="13.5" thickBot="1" x14ac:dyDescent="0.25">
      <c r="P3" s="39"/>
    </row>
    <row r="4" spans="1:16" ht="21" customHeight="1" thickBot="1" x14ac:dyDescent="0.25">
      <c r="B4" s="3" t="s">
        <v>2</v>
      </c>
      <c r="C4" s="42"/>
      <c r="D4" s="43"/>
      <c r="E4" s="43"/>
      <c r="F4" s="43"/>
      <c r="G4" s="43"/>
      <c r="H4" s="44"/>
      <c r="P4" s="40"/>
    </row>
    <row r="6" spans="1:16" x14ac:dyDescent="0.2">
      <c r="B6" s="30" t="str">
        <f ca="1">"Date: " &amp; TEXT(TODAY(),"MM/DD/YYYY")</f>
        <v>Date: 01/07/2016</v>
      </c>
    </row>
    <row r="7" spans="1:16" x14ac:dyDescent="0.2">
      <c r="B7" s="39"/>
    </row>
    <row r="8" spans="1:16" x14ac:dyDescent="0.2">
      <c r="B8" s="3" t="s">
        <v>3</v>
      </c>
      <c r="D8" t="s">
        <v>16</v>
      </c>
      <c r="E8" s="21" t="s">
        <v>18</v>
      </c>
      <c r="F8" s="2" t="s">
        <v>1</v>
      </c>
      <c r="G8" s="22">
        <v>1</v>
      </c>
      <c r="K8" t="s">
        <v>17</v>
      </c>
      <c r="L8" t="s">
        <v>18</v>
      </c>
    </row>
    <row r="9" spans="1:16" x14ac:dyDescent="0.2">
      <c r="B9" s="3" t="s">
        <v>4</v>
      </c>
      <c r="D9" t="s">
        <v>16</v>
      </c>
      <c r="E9" s="21" t="s">
        <v>18</v>
      </c>
      <c r="F9" s="2" t="s">
        <v>1</v>
      </c>
      <c r="G9" s="22">
        <v>1</v>
      </c>
    </row>
    <row r="11" spans="1:16" x14ac:dyDescent="0.2">
      <c r="B11" t="s">
        <v>27</v>
      </c>
      <c r="D11" s="23">
        <v>0</v>
      </c>
    </row>
    <row r="12" spans="1:16" x14ac:dyDescent="0.2">
      <c r="B12" t="s">
        <v>28</v>
      </c>
      <c r="D12" s="23">
        <v>0</v>
      </c>
    </row>
    <row r="13" spans="1:16" x14ac:dyDescent="0.2">
      <c r="B13" t="s">
        <v>29</v>
      </c>
      <c r="D13" s="24">
        <v>1</v>
      </c>
      <c r="E13" s="2" t="s">
        <v>52</v>
      </c>
    </row>
    <row r="15" spans="1:16" ht="13.5" thickBot="1" x14ac:dyDescent="0.25"/>
    <row r="16" spans="1:16" ht="13.5" thickBot="1" x14ac:dyDescent="0.25">
      <c r="B16" s="8" t="s">
        <v>0</v>
      </c>
      <c r="D16" s="23"/>
    </row>
    <row r="17" spans="2:12" ht="13.5" thickBot="1" x14ac:dyDescent="0.25"/>
    <row r="18" spans="2:12" ht="13.5" thickBot="1" x14ac:dyDescent="0.25">
      <c r="B18" s="5" t="s">
        <v>5</v>
      </c>
      <c r="C18" s="6"/>
      <c r="D18" s="7" t="s">
        <v>15</v>
      </c>
      <c r="H18" s="20"/>
    </row>
    <row r="19" spans="2:12" x14ac:dyDescent="0.2">
      <c r="B19" t="s">
        <v>21</v>
      </c>
      <c r="D19" s="25">
        <v>0</v>
      </c>
      <c r="F19" t="s">
        <v>6</v>
      </c>
      <c r="G19" s="22" t="s">
        <v>19</v>
      </c>
      <c r="H19" s="20"/>
      <c r="K19" t="s">
        <v>19</v>
      </c>
      <c r="L19" t="s">
        <v>20</v>
      </c>
    </row>
    <row r="20" spans="2:12" x14ac:dyDescent="0.2">
      <c r="B20" t="s">
        <v>7</v>
      </c>
      <c r="D20" s="23">
        <v>0</v>
      </c>
      <c r="F20" s="2" t="s">
        <v>25</v>
      </c>
    </row>
    <row r="21" spans="2:12" x14ac:dyDescent="0.2">
      <c r="B21" t="s">
        <v>8</v>
      </c>
      <c r="D21" s="23">
        <v>0</v>
      </c>
      <c r="F21" s="2" t="s">
        <v>25</v>
      </c>
    </row>
    <row r="22" spans="2:12" x14ac:dyDescent="0.2">
      <c r="B22" t="s">
        <v>12</v>
      </c>
      <c r="D22" s="23">
        <v>0</v>
      </c>
      <c r="F22" s="2" t="s">
        <v>22</v>
      </c>
    </row>
    <row r="23" spans="2:12" x14ac:dyDescent="0.2">
      <c r="B23" t="s">
        <v>9</v>
      </c>
      <c r="D23" s="23"/>
      <c r="F23" s="9" t="s">
        <v>22</v>
      </c>
    </row>
    <row r="24" spans="2:12" x14ac:dyDescent="0.2">
      <c r="B24" t="s">
        <v>10</v>
      </c>
      <c r="D24" s="23">
        <v>0</v>
      </c>
    </row>
    <row r="25" spans="2:12" x14ac:dyDescent="0.2">
      <c r="B25" t="s">
        <v>11</v>
      </c>
      <c r="D25" s="23"/>
    </row>
    <row r="26" spans="2:12" x14ac:dyDescent="0.2">
      <c r="B26" t="s">
        <v>66</v>
      </c>
      <c r="D26" s="23"/>
    </row>
    <row r="27" spans="2:12" x14ac:dyDescent="0.2">
      <c r="B27" t="s">
        <v>65</v>
      </c>
      <c r="D27" s="23">
        <v>0</v>
      </c>
    </row>
    <row r="28" spans="2:12" x14ac:dyDescent="0.2">
      <c r="B28" t="s">
        <v>13</v>
      </c>
      <c r="D28" s="23">
        <v>0</v>
      </c>
    </row>
    <row r="29" spans="2:12" x14ac:dyDescent="0.2">
      <c r="B29" s="1" t="s">
        <v>14</v>
      </c>
      <c r="D29" s="23">
        <v>0</v>
      </c>
    </row>
    <row r="30" spans="2:12" x14ac:dyDescent="0.2">
      <c r="B30" s="3" t="s">
        <v>49</v>
      </c>
      <c r="D30" s="18">
        <f>SUM(D19:D29)</f>
        <v>0</v>
      </c>
    </row>
    <row r="32" spans="2:12" x14ac:dyDescent="0.2">
      <c r="B32" t="s">
        <v>23</v>
      </c>
      <c r="D32" s="23"/>
    </row>
    <row r="34" spans="2:6" x14ac:dyDescent="0.2">
      <c r="B34" t="s">
        <v>24</v>
      </c>
      <c r="D34" s="10">
        <f>D16+D32-D20-D21-IF(G19="Y",D19,0)</f>
        <v>0</v>
      </c>
      <c r="F34" s="10"/>
    </row>
    <row r="35" spans="2:6" x14ac:dyDescent="0.2">
      <c r="B35" t="s">
        <v>26</v>
      </c>
      <c r="D35" s="10">
        <f>D34-D22-D23</f>
        <v>0</v>
      </c>
    </row>
    <row r="36" spans="2:6" x14ac:dyDescent="0.2">
      <c r="B36" t="s">
        <v>60</v>
      </c>
      <c r="D36" s="10">
        <f>D35</f>
        <v>0</v>
      </c>
    </row>
    <row r="37" spans="2:6" x14ac:dyDescent="0.2">
      <c r="B37" t="s">
        <v>58</v>
      </c>
      <c r="D37" s="11">
        <f>ROUND(SSWages*0.0765,2)</f>
        <v>0</v>
      </c>
      <c r="E37" s="31" t="s">
        <v>57</v>
      </c>
    </row>
    <row r="38" spans="2:6" x14ac:dyDescent="0.2">
      <c r="B38" s="33" t="s">
        <v>62</v>
      </c>
      <c r="D38" s="11">
        <f>ROUND(SSWages*0.0145,2)</f>
        <v>0</v>
      </c>
      <c r="E38" s="31"/>
    </row>
    <row r="39" spans="2:6" x14ac:dyDescent="0.2">
      <c r="B39" s="33" t="s">
        <v>63</v>
      </c>
      <c r="D39" s="11">
        <f>ROUND(SSWages*0.062,2)</f>
        <v>0</v>
      </c>
      <c r="E39" s="31"/>
    </row>
    <row r="40" spans="2:6" x14ac:dyDescent="0.2">
      <c r="B40" t="s">
        <v>47</v>
      </c>
      <c r="D40" s="11">
        <f>IF(FedStat="M",FedMTaxes,FedSTaxes)</f>
        <v>0</v>
      </c>
    </row>
    <row r="41" spans="2:6" x14ac:dyDescent="0.2">
      <c r="B41" t="s">
        <v>48</v>
      </c>
      <c r="D41" s="11">
        <f>IF(VTStat="M",VTMTaxes,VTSTaxes)</f>
        <v>0</v>
      </c>
    </row>
    <row r="42" spans="2:6" x14ac:dyDescent="0.2">
      <c r="B42" s="3" t="s">
        <v>50</v>
      </c>
      <c r="D42" s="13">
        <f>SUM(D37:D41)-D38-D39</f>
        <v>0</v>
      </c>
    </row>
    <row r="43" spans="2:6" ht="13.5" thickBot="1" x14ac:dyDescent="0.25"/>
    <row r="44" spans="2:6" ht="18.75" thickBot="1" x14ac:dyDescent="0.3">
      <c r="B44" s="26" t="s">
        <v>51</v>
      </c>
      <c r="C44" s="27"/>
      <c r="D44" s="28">
        <f>Gross-TotalDeds-TotalTaxes</f>
        <v>0</v>
      </c>
    </row>
    <row r="46" spans="2:6" x14ac:dyDescent="0.2">
      <c r="B46" s="3" t="s">
        <v>55</v>
      </c>
      <c r="F46" s="32" t="s">
        <v>68</v>
      </c>
    </row>
    <row r="50" spans="2:9" hidden="1" x14ac:dyDescent="0.2"/>
    <row r="51" spans="2:9" hidden="1" x14ac:dyDescent="0.2"/>
    <row r="52" spans="2:9" hidden="1" x14ac:dyDescent="0.2"/>
    <row r="53" spans="2:9" hidden="1" x14ac:dyDescent="0.2"/>
    <row r="54" spans="2:9" hidden="1" x14ac:dyDescent="0.2"/>
    <row r="55" spans="2:9" hidden="1" x14ac:dyDescent="0.2"/>
    <row r="56" spans="2:9" hidden="1" x14ac:dyDescent="0.2">
      <c r="B56" s="3" t="s">
        <v>30</v>
      </c>
      <c r="D56" s="10">
        <f>MAX(ROUND((D35*26/D13)-(H56*G8),2),0)</f>
        <v>0</v>
      </c>
      <c r="F56" s="3" t="s">
        <v>59</v>
      </c>
      <c r="H56" s="11">
        <v>4050</v>
      </c>
    </row>
    <row r="57" spans="2:9" hidden="1" x14ac:dyDescent="0.2">
      <c r="B57" s="3" t="s">
        <v>31</v>
      </c>
      <c r="D57" s="10">
        <f>MAX(ROUND((D36*26/D13)-(H57*G9),2),0)</f>
        <v>0</v>
      </c>
      <c r="F57" s="3" t="s">
        <v>61</v>
      </c>
      <c r="H57" s="11">
        <v>4050</v>
      </c>
    </row>
    <row r="58" spans="2:9" hidden="1" x14ac:dyDescent="0.2">
      <c r="D58" s="10"/>
    </row>
    <row r="59" spans="2:9" hidden="1" x14ac:dyDescent="0.2">
      <c r="D59" s="16" t="s">
        <v>41</v>
      </c>
      <c r="E59" s="4" t="s">
        <v>38</v>
      </c>
      <c r="F59" s="4" t="s">
        <v>39</v>
      </c>
      <c r="G59" s="4"/>
      <c r="H59" s="4" t="s">
        <v>42</v>
      </c>
      <c r="I59" s="4" t="s">
        <v>44</v>
      </c>
    </row>
    <row r="60" spans="2:9" hidden="1" x14ac:dyDescent="0.2">
      <c r="B60" s="3" t="s">
        <v>32</v>
      </c>
      <c r="D60" s="11">
        <f>VLOOKUP(FedWages,FedMarried,3,TRUE)</f>
        <v>0</v>
      </c>
      <c r="E60" s="12">
        <f>VLOOKUP(FedWages,FedMarried,4,TRUE)</f>
        <v>0</v>
      </c>
      <c r="F60" s="11">
        <f>VLOOKUP(FedWages,FedMarried,5,TRUE)</f>
        <v>0</v>
      </c>
      <c r="H60" s="10">
        <f>ROUND(D60+E60*(FedWages-F60),2)</f>
        <v>0</v>
      </c>
      <c r="I60" s="10">
        <f>ROUND((H60*Periods/26)+AddlFed*Periods,2)</f>
        <v>0</v>
      </c>
    </row>
    <row r="61" spans="2:9" hidden="1" x14ac:dyDescent="0.2">
      <c r="B61" s="3" t="s">
        <v>33</v>
      </c>
      <c r="D61" s="11">
        <f>VLOOKUP(FedWages,FedSingle,3,TRUE)</f>
        <v>0</v>
      </c>
      <c r="E61" s="12">
        <f>VLOOKUP(FedWages,FedSingle,4,TRUE)</f>
        <v>0</v>
      </c>
      <c r="F61" s="11">
        <f>VLOOKUP(FedWages,FedSingle,5,TRUE)</f>
        <v>0</v>
      </c>
      <c r="H61" s="10">
        <f>ROUND(D61+E61*(FedWages-F61),2)</f>
        <v>0</v>
      </c>
      <c r="I61" s="10">
        <f>ROUND((H61*Periods/26)+AddlFed*Periods,2)</f>
        <v>0</v>
      </c>
    </row>
    <row r="62" spans="2:9" hidden="1" x14ac:dyDescent="0.2">
      <c r="B62" s="3" t="s">
        <v>34</v>
      </c>
      <c r="D62" s="11">
        <f>VLOOKUP(VTWages,VTMarried,3,TRUE)</f>
        <v>0</v>
      </c>
      <c r="E62" s="15">
        <f>VLOOKUP(VTWages,VTMarried,4,TRUE)</f>
        <v>0</v>
      </c>
      <c r="F62" s="11">
        <f>VLOOKUP(VTWages,VTMarried,5,TRUE)</f>
        <v>0</v>
      </c>
      <c r="H62" s="10">
        <f>ROUND(D62+E62*(VTWages-F62),2)</f>
        <v>0</v>
      </c>
      <c r="I62" s="10">
        <f>ROUND((H62*Periods/26)+AddlVT*Periods,2)</f>
        <v>0</v>
      </c>
    </row>
    <row r="63" spans="2:9" hidden="1" x14ac:dyDescent="0.2">
      <c r="B63" s="3" t="s">
        <v>35</v>
      </c>
      <c r="D63" s="11">
        <f>VLOOKUP(VTWages,VTSingle,3,TRUE)</f>
        <v>0</v>
      </c>
      <c r="E63" s="15">
        <f>VLOOKUP(VTWages,VTSingle,4,TRUE)</f>
        <v>0</v>
      </c>
      <c r="F63" s="11">
        <f>VLOOKUP(VTWages,VTSingle,5,TRUE)</f>
        <v>0</v>
      </c>
      <c r="H63" s="10">
        <f>ROUND(D63+E63*(VTWages-F63),2)</f>
        <v>0</v>
      </c>
      <c r="I63" s="10">
        <f>ROUND((H63*Periods/26)+AddlVT*Periods,2)</f>
        <v>0</v>
      </c>
    </row>
    <row r="64" spans="2:9" hidden="1" x14ac:dyDescent="0.2"/>
    <row r="65" spans="9:16" hidden="1" x14ac:dyDescent="0.2"/>
    <row r="66" spans="9:16" hidden="1" x14ac:dyDescent="0.2">
      <c r="J66" s="3" t="s">
        <v>40</v>
      </c>
      <c r="K66" s="3"/>
      <c r="L66" s="3"/>
      <c r="M66" s="3"/>
      <c r="N66" s="3"/>
    </row>
    <row r="67" spans="9:16" hidden="1" x14ac:dyDescent="0.2">
      <c r="I67" s="11"/>
      <c r="J67" s="13" t="s">
        <v>36</v>
      </c>
      <c r="K67" s="13" t="s">
        <v>37</v>
      </c>
      <c r="L67" s="13" t="s">
        <v>15</v>
      </c>
      <c r="M67" s="14" t="s">
        <v>38</v>
      </c>
      <c r="N67" s="13" t="s">
        <v>39</v>
      </c>
      <c r="O67" s="13" t="s">
        <v>64</v>
      </c>
    </row>
    <row r="68" spans="9:16" hidden="1" x14ac:dyDescent="0.2">
      <c r="I68" s="11"/>
      <c r="J68" s="36">
        <v>0</v>
      </c>
      <c r="K68" s="11">
        <f>J69</f>
        <v>8550</v>
      </c>
      <c r="L68" s="11">
        <v>0</v>
      </c>
      <c r="M68" s="12">
        <v>0</v>
      </c>
      <c r="N68" s="11">
        <v>0</v>
      </c>
      <c r="O68" s="11">
        <v>0</v>
      </c>
    </row>
    <row r="69" spans="9:16" hidden="1" x14ac:dyDescent="0.2">
      <c r="I69" s="11"/>
      <c r="J69" s="34">
        <v>8550</v>
      </c>
      <c r="K69" s="11">
        <f t="shared" ref="K69:K74" si="0">J70</f>
        <v>27100</v>
      </c>
      <c r="L69" s="11">
        <f t="shared" ref="L69:L74" si="1">O68</f>
        <v>0</v>
      </c>
      <c r="M69" s="35">
        <v>0.1</v>
      </c>
      <c r="N69" s="10">
        <f t="shared" ref="N69:N75" si="2">K68</f>
        <v>8550</v>
      </c>
      <c r="O69" s="10">
        <f t="shared" ref="O69:O74" si="3">M69*(K69-K68)+O68</f>
        <v>1855</v>
      </c>
    </row>
    <row r="70" spans="9:16" hidden="1" x14ac:dyDescent="0.2">
      <c r="I70" s="11"/>
      <c r="J70" s="34">
        <v>27100</v>
      </c>
      <c r="K70" s="11">
        <f t="shared" si="0"/>
        <v>83850</v>
      </c>
      <c r="L70" s="11">
        <f t="shared" si="1"/>
        <v>1855</v>
      </c>
      <c r="M70" s="35">
        <v>0.15</v>
      </c>
      <c r="N70" s="10">
        <f t="shared" si="2"/>
        <v>27100</v>
      </c>
      <c r="O70" s="10">
        <f t="shared" si="3"/>
        <v>10367.5</v>
      </c>
      <c r="P70" s="10"/>
    </row>
    <row r="71" spans="9:16" hidden="1" x14ac:dyDescent="0.2">
      <c r="I71" s="11"/>
      <c r="J71" s="34">
        <v>83850</v>
      </c>
      <c r="K71" s="11">
        <f t="shared" si="0"/>
        <v>160450</v>
      </c>
      <c r="L71" s="11">
        <f t="shared" si="1"/>
        <v>10367.5</v>
      </c>
      <c r="M71" s="35">
        <v>0.25</v>
      </c>
      <c r="N71" s="10">
        <f t="shared" si="2"/>
        <v>83850</v>
      </c>
      <c r="O71" s="10">
        <f t="shared" si="3"/>
        <v>29517.5</v>
      </c>
      <c r="P71" s="10"/>
    </row>
    <row r="72" spans="9:16" hidden="1" x14ac:dyDescent="0.2">
      <c r="I72" s="11"/>
      <c r="J72" s="34">
        <v>160450</v>
      </c>
      <c r="K72" s="11">
        <f t="shared" si="0"/>
        <v>240000</v>
      </c>
      <c r="L72" s="11">
        <f t="shared" si="1"/>
        <v>29517.5</v>
      </c>
      <c r="M72" s="35">
        <v>0.28000000000000003</v>
      </c>
      <c r="N72" s="10">
        <f t="shared" si="2"/>
        <v>160450</v>
      </c>
      <c r="O72" s="10">
        <f t="shared" si="3"/>
        <v>51791.5</v>
      </c>
      <c r="P72" s="10"/>
    </row>
    <row r="73" spans="9:16" hidden="1" x14ac:dyDescent="0.2">
      <c r="I73" s="11"/>
      <c r="J73" s="34">
        <v>240000</v>
      </c>
      <c r="K73" s="11">
        <f t="shared" si="0"/>
        <v>421900</v>
      </c>
      <c r="L73" s="11">
        <f t="shared" si="1"/>
        <v>51791.5</v>
      </c>
      <c r="M73" s="35">
        <v>0.33</v>
      </c>
      <c r="N73" s="10">
        <f t="shared" si="2"/>
        <v>240000</v>
      </c>
      <c r="O73" s="10">
        <f t="shared" si="3"/>
        <v>111818.5</v>
      </c>
      <c r="P73" s="10"/>
    </row>
    <row r="74" spans="9:16" hidden="1" x14ac:dyDescent="0.2">
      <c r="I74" s="11"/>
      <c r="J74" s="34">
        <v>421900</v>
      </c>
      <c r="K74" s="11">
        <f t="shared" si="0"/>
        <v>475500</v>
      </c>
      <c r="L74" s="11">
        <f t="shared" si="1"/>
        <v>111818.5</v>
      </c>
      <c r="M74" s="35">
        <v>0.35</v>
      </c>
      <c r="N74" s="10">
        <f t="shared" si="2"/>
        <v>421900</v>
      </c>
      <c r="O74" s="10">
        <f t="shared" si="3"/>
        <v>130578.5</v>
      </c>
      <c r="P74" s="10"/>
    </row>
    <row r="75" spans="9:16" hidden="1" x14ac:dyDescent="0.2">
      <c r="I75" s="11"/>
      <c r="J75" s="34">
        <v>475500</v>
      </c>
      <c r="K75" s="11">
        <v>99999999</v>
      </c>
      <c r="L75" s="11">
        <f>O74</f>
        <v>130578.5</v>
      </c>
      <c r="M75" s="35">
        <v>0.39600000000000002</v>
      </c>
      <c r="N75" s="10">
        <f t="shared" si="2"/>
        <v>475500</v>
      </c>
      <c r="O75" s="10"/>
      <c r="P75" s="10"/>
    </row>
    <row r="76" spans="9:16" hidden="1" x14ac:dyDescent="0.2"/>
    <row r="77" spans="9:16" hidden="1" x14ac:dyDescent="0.2">
      <c r="J77" s="3" t="s">
        <v>43</v>
      </c>
      <c r="K77" s="3"/>
      <c r="L77" s="3"/>
      <c r="M77" s="3"/>
      <c r="N77" s="3"/>
    </row>
    <row r="78" spans="9:16" hidden="1" x14ac:dyDescent="0.2">
      <c r="J78" s="13" t="s">
        <v>36</v>
      </c>
      <c r="K78" s="13" t="s">
        <v>37</v>
      </c>
      <c r="L78" s="13" t="s">
        <v>15</v>
      </c>
      <c r="M78" s="14" t="s">
        <v>38</v>
      </c>
      <c r="N78" s="13" t="s">
        <v>39</v>
      </c>
      <c r="O78" s="13" t="s">
        <v>64</v>
      </c>
    </row>
    <row r="79" spans="9:16" hidden="1" x14ac:dyDescent="0.2">
      <c r="J79" s="37">
        <v>0</v>
      </c>
      <c r="K79" s="11">
        <f>J80</f>
        <v>2250</v>
      </c>
      <c r="L79" s="11">
        <v>0</v>
      </c>
      <c r="M79" s="12">
        <v>0</v>
      </c>
      <c r="N79" s="11">
        <v>0</v>
      </c>
      <c r="O79" s="11">
        <v>0</v>
      </c>
    </row>
    <row r="80" spans="9:16" hidden="1" x14ac:dyDescent="0.2">
      <c r="J80" s="34">
        <v>2250</v>
      </c>
      <c r="K80" s="11">
        <f t="shared" ref="K80:K85" si="4">J81</f>
        <v>11525</v>
      </c>
      <c r="L80" s="11">
        <f t="shared" ref="L80:L86" si="5">O79</f>
        <v>0</v>
      </c>
      <c r="M80" s="35">
        <v>0.1</v>
      </c>
      <c r="N80" s="10">
        <f t="shared" ref="N80:N86" si="6">K79</f>
        <v>2250</v>
      </c>
      <c r="O80" s="10">
        <f t="shared" ref="O80:O85" si="7">M80*(K80-K79)+O79</f>
        <v>927.5</v>
      </c>
    </row>
    <row r="81" spans="10:15" hidden="1" x14ac:dyDescent="0.2">
      <c r="J81" s="34">
        <v>11525</v>
      </c>
      <c r="K81" s="11">
        <f t="shared" si="4"/>
        <v>39900</v>
      </c>
      <c r="L81" s="11">
        <f t="shared" si="5"/>
        <v>927.5</v>
      </c>
      <c r="M81" s="35">
        <v>0.15</v>
      </c>
      <c r="N81" s="10">
        <f t="shared" si="6"/>
        <v>11525</v>
      </c>
      <c r="O81" s="10">
        <f t="shared" si="7"/>
        <v>5183.75</v>
      </c>
    </row>
    <row r="82" spans="10:15" hidden="1" x14ac:dyDescent="0.2">
      <c r="J82" s="34">
        <v>39900</v>
      </c>
      <c r="K82" s="11">
        <f t="shared" si="4"/>
        <v>93400</v>
      </c>
      <c r="L82" s="11">
        <f t="shared" si="5"/>
        <v>5183.75</v>
      </c>
      <c r="M82" s="35">
        <v>0.25</v>
      </c>
      <c r="N82" s="10">
        <f t="shared" si="6"/>
        <v>39900</v>
      </c>
      <c r="O82" s="10">
        <f t="shared" si="7"/>
        <v>18558.75</v>
      </c>
    </row>
    <row r="83" spans="10:15" hidden="1" x14ac:dyDescent="0.2">
      <c r="J83" s="34">
        <v>93400</v>
      </c>
      <c r="K83" s="11">
        <f t="shared" si="4"/>
        <v>192400</v>
      </c>
      <c r="L83" s="11">
        <f t="shared" si="5"/>
        <v>18558.75</v>
      </c>
      <c r="M83" s="35">
        <v>0.28000000000000003</v>
      </c>
      <c r="N83" s="10">
        <f t="shared" si="6"/>
        <v>93400</v>
      </c>
      <c r="O83" s="10">
        <f t="shared" si="7"/>
        <v>46278.75</v>
      </c>
    </row>
    <row r="84" spans="10:15" hidden="1" x14ac:dyDescent="0.2">
      <c r="J84" s="34">
        <v>192400</v>
      </c>
      <c r="K84" s="11">
        <f t="shared" si="4"/>
        <v>415600</v>
      </c>
      <c r="L84" s="11">
        <f t="shared" si="5"/>
        <v>46278.75</v>
      </c>
      <c r="M84" s="35">
        <v>0.33</v>
      </c>
      <c r="N84" s="10">
        <f t="shared" si="6"/>
        <v>192400</v>
      </c>
      <c r="O84" s="10">
        <f t="shared" si="7"/>
        <v>119934.75</v>
      </c>
    </row>
    <row r="85" spans="10:15" hidden="1" x14ac:dyDescent="0.2">
      <c r="J85" s="34">
        <v>415600</v>
      </c>
      <c r="K85" s="11">
        <f t="shared" si="4"/>
        <v>417300</v>
      </c>
      <c r="L85" s="11">
        <f t="shared" si="5"/>
        <v>119934.75</v>
      </c>
      <c r="M85" s="35">
        <v>0.35</v>
      </c>
      <c r="N85" s="10">
        <f t="shared" si="6"/>
        <v>415600</v>
      </c>
      <c r="O85" s="10">
        <f t="shared" si="7"/>
        <v>120529.75</v>
      </c>
    </row>
    <row r="86" spans="10:15" hidden="1" x14ac:dyDescent="0.2">
      <c r="J86" s="34">
        <v>417300</v>
      </c>
      <c r="K86" s="11">
        <v>99999999</v>
      </c>
      <c r="L86" s="11">
        <f t="shared" si="5"/>
        <v>120529.75</v>
      </c>
      <c r="M86" s="35">
        <v>0.39600000000000002</v>
      </c>
      <c r="N86" s="10">
        <f t="shared" si="6"/>
        <v>417300</v>
      </c>
      <c r="O86" s="10"/>
    </row>
    <row r="87" spans="10:15" hidden="1" x14ac:dyDescent="0.2"/>
    <row r="88" spans="10:15" hidden="1" x14ac:dyDescent="0.2">
      <c r="J88" s="3" t="s">
        <v>45</v>
      </c>
      <c r="K88" s="3"/>
      <c r="L88" s="3"/>
      <c r="M88" s="3"/>
      <c r="N88" s="3"/>
    </row>
    <row r="89" spans="10:15" hidden="1" x14ac:dyDescent="0.2">
      <c r="J89" s="13" t="s">
        <v>36</v>
      </c>
      <c r="K89" s="13" t="s">
        <v>37</v>
      </c>
      <c r="L89" s="13" t="s">
        <v>15</v>
      </c>
      <c r="M89" s="17" t="s">
        <v>38</v>
      </c>
      <c r="N89" s="13" t="s">
        <v>39</v>
      </c>
      <c r="O89" s="13" t="s">
        <v>64</v>
      </c>
    </row>
    <row r="90" spans="10:15" hidden="1" x14ac:dyDescent="0.2">
      <c r="J90" s="11">
        <v>0</v>
      </c>
      <c r="K90" s="11">
        <f>J91</f>
        <v>8000</v>
      </c>
      <c r="L90" s="11">
        <v>0</v>
      </c>
      <c r="M90" s="15">
        <v>0</v>
      </c>
      <c r="N90" s="11">
        <v>0</v>
      </c>
      <c r="O90" s="11">
        <v>0</v>
      </c>
    </row>
    <row r="91" spans="10:15" hidden="1" x14ac:dyDescent="0.2">
      <c r="J91" s="34">
        <v>8000</v>
      </c>
      <c r="K91" s="11">
        <f>J92</f>
        <v>69900</v>
      </c>
      <c r="L91" s="11">
        <f>O90</f>
        <v>0</v>
      </c>
      <c r="M91" s="38">
        <v>3.5499999999999997E-2</v>
      </c>
      <c r="N91" s="10">
        <f>K90</f>
        <v>8000</v>
      </c>
      <c r="O91" s="10">
        <f>M91*(K91-K90)+O90</f>
        <v>2197.4499999999998</v>
      </c>
    </row>
    <row r="92" spans="10:15" hidden="1" x14ac:dyDescent="0.2">
      <c r="J92" s="34">
        <v>69900</v>
      </c>
      <c r="K92" s="11">
        <f>J93</f>
        <v>160450</v>
      </c>
      <c r="L92" s="11">
        <f>O91</f>
        <v>2197.4499999999998</v>
      </c>
      <c r="M92" s="38">
        <v>6.8000000000000005E-2</v>
      </c>
      <c r="N92" s="10">
        <f>K91</f>
        <v>69900</v>
      </c>
      <c r="O92" s="10">
        <f>M92*(K92-K91)+O91</f>
        <v>8354.85</v>
      </c>
    </row>
    <row r="93" spans="10:15" hidden="1" x14ac:dyDescent="0.2">
      <c r="J93" s="34">
        <v>160450</v>
      </c>
      <c r="K93" s="11">
        <f>J94</f>
        <v>240000</v>
      </c>
      <c r="L93" s="11">
        <f>O92</f>
        <v>8354.85</v>
      </c>
      <c r="M93" s="38">
        <v>7.8E-2</v>
      </c>
      <c r="N93" s="10">
        <f>K92</f>
        <v>160450</v>
      </c>
      <c r="O93" s="10">
        <f>M93*(K93-K92)+O92</f>
        <v>14559.75</v>
      </c>
    </row>
    <row r="94" spans="10:15" hidden="1" x14ac:dyDescent="0.2">
      <c r="J94" s="34">
        <v>240000</v>
      </c>
      <c r="K94" s="11">
        <f>J95</f>
        <v>421900</v>
      </c>
      <c r="L94" s="11">
        <f>O93</f>
        <v>14559.75</v>
      </c>
      <c r="M94" s="38">
        <v>8.7999999999999995E-2</v>
      </c>
      <c r="N94" s="10">
        <f>K93</f>
        <v>240000</v>
      </c>
      <c r="O94" s="10">
        <f>M94*(K94-K93)+O93</f>
        <v>30566.949999999997</v>
      </c>
    </row>
    <row r="95" spans="10:15" hidden="1" x14ac:dyDescent="0.2">
      <c r="J95" s="34">
        <v>421900</v>
      </c>
      <c r="K95" s="11">
        <v>99999999</v>
      </c>
      <c r="L95" s="11">
        <f>O94</f>
        <v>30566.949999999997</v>
      </c>
      <c r="M95" s="38">
        <v>8.9499999999999996E-2</v>
      </c>
      <c r="N95" s="10">
        <f>K94</f>
        <v>421900</v>
      </c>
      <c r="O95" s="10"/>
    </row>
    <row r="96" spans="10:15" hidden="1" x14ac:dyDescent="0.2"/>
    <row r="97" spans="10:15" hidden="1" x14ac:dyDescent="0.2">
      <c r="J97" s="3" t="s">
        <v>46</v>
      </c>
      <c r="K97" s="3"/>
      <c r="L97" s="3"/>
      <c r="M97" s="3"/>
      <c r="N97" s="3"/>
    </row>
    <row r="98" spans="10:15" hidden="1" x14ac:dyDescent="0.2">
      <c r="J98" s="13" t="s">
        <v>36</v>
      </c>
      <c r="K98" s="13" t="s">
        <v>37</v>
      </c>
      <c r="L98" s="13" t="s">
        <v>15</v>
      </c>
      <c r="M98" s="17" t="s">
        <v>38</v>
      </c>
      <c r="N98" s="13" t="s">
        <v>39</v>
      </c>
      <c r="O98" s="13" t="s">
        <v>64</v>
      </c>
    </row>
    <row r="99" spans="10:15" hidden="1" x14ac:dyDescent="0.2">
      <c r="J99" s="11">
        <v>0</v>
      </c>
      <c r="K99" s="11">
        <f>J100</f>
        <v>2650</v>
      </c>
      <c r="L99" s="11">
        <v>0</v>
      </c>
      <c r="M99" s="15">
        <v>0</v>
      </c>
      <c r="N99" s="11">
        <v>0</v>
      </c>
      <c r="O99" s="11">
        <v>0</v>
      </c>
    </row>
    <row r="100" spans="10:15" hidden="1" x14ac:dyDescent="0.2">
      <c r="J100" s="34">
        <v>2650</v>
      </c>
      <c r="K100" s="11">
        <f>J101</f>
        <v>39900</v>
      </c>
      <c r="L100" s="11">
        <f>O99</f>
        <v>0</v>
      </c>
      <c r="M100" s="38">
        <v>3.5499999999999997E-2</v>
      </c>
      <c r="N100" s="10">
        <f>K99</f>
        <v>2650</v>
      </c>
      <c r="O100" s="10">
        <f>M100*(K100-K99)+O99</f>
        <v>1322.3749999999998</v>
      </c>
    </row>
    <row r="101" spans="10:15" hidden="1" x14ac:dyDescent="0.2">
      <c r="J101" s="34">
        <v>39900</v>
      </c>
      <c r="K101" s="11">
        <f>J102</f>
        <v>93400</v>
      </c>
      <c r="L101" s="11">
        <f>O100</f>
        <v>1322.3749999999998</v>
      </c>
      <c r="M101" s="38">
        <v>6.8000000000000005E-2</v>
      </c>
      <c r="N101" s="10">
        <f>K100</f>
        <v>39900</v>
      </c>
      <c r="O101" s="10">
        <f>M101*(K101-K100)+O100</f>
        <v>4960.375</v>
      </c>
    </row>
    <row r="102" spans="10:15" hidden="1" x14ac:dyDescent="0.2">
      <c r="J102" s="34">
        <v>93400</v>
      </c>
      <c r="K102" s="11">
        <f>J103</f>
        <v>192400</v>
      </c>
      <c r="L102" s="11">
        <f>O101</f>
        <v>4960.375</v>
      </c>
      <c r="M102" s="38">
        <v>7.8E-2</v>
      </c>
      <c r="N102" s="10">
        <f>K101</f>
        <v>93400</v>
      </c>
      <c r="O102" s="10">
        <f>M102*(K102-K101)+O101</f>
        <v>12682.375</v>
      </c>
    </row>
    <row r="103" spans="10:15" hidden="1" x14ac:dyDescent="0.2">
      <c r="J103" s="34">
        <v>192400</v>
      </c>
      <c r="K103" s="11">
        <f>J104</f>
        <v>415600</v>
      </c>
      <c r="L103" s="11">
        <f>O102</f>
        <v>12682.375</v>
      </c>
      <c r="M103" s="38">
        <v>8.7999999999999995E-2</v>
      </c>
      <c r="N103" s="10">
        <f>K102</f>
        <v>192400</v>
      </c>
      <c r="O103" s="10">
        <f>M103*(K103-K102)+O102</f>
        <v>32323.974999999999</v>
      </c>
    </row>
    <row r="104" spans="10:15" hidden="1" x14ac:dyDescent="0.2">
      <c r="J104" s="34">
        <v>415600</v>
      </c>
      <c r="K104" s="11">
        <v>99999999</v>
      </c>
      <c r="L104" s="11">
        <f>O103</f>
        <v>32323.974999999999</v>
      </c>
      <c r="M104" s="38">
        <v>8.9499999999999996E-2</v>
      </c>
      <c r="N104" s="10">
        <f>K103</f>
        <v>415600</v>
      </c>
    </row>
    <row r="105" spans="10:15" hidden="1" x14ac:dyDescent="0.2"/>
    <row r="106" spans="10:15" hidden="1" x14ac:dyDescent="0.2"/>
  </sheetData>
  <sheetProtection sheet="1" objects="1" scenarios="1"/>
  <mergeCells count="3">
    <mergeCell ref="A1:H1"/>
    <mergeCell ref="C4:H4"/>
    <mergeCell ref="A2:H2"/>
  </mergeCells>
  <phoneticPr fontId="0" type="noConversion"/>
  <dataValidations count="6">
    <dataValidation type="decimal" allowBlank="1" showInputMessage="1" showErrorMessage="1" sqref="D32 D19:D29 D16">
      <formula1>0</formula1>
      <formula2>999999</formula2>
    </dataValidation>
    <dataValidation type="list" showInputMessage="1" showErrorMessage="1" sqref="E8:E9">
      <formula1>$K$8:$L$8</formula1>
    </dataValidation>
    <dataValidation type="list" showInputMessage="1" showErrorMessage="1" sqref="G19">
      <formula1>$K$19:$L$19</formula1>
    </dataValidation>
    <dataValidation type="whole" showInputMessage="1" showErrorMessage="1" sqref="G8:G9">
      <formula1>0</formula1>
      <formula2>99</formula2>
    </dataValidation>
    <dataValidation type="whole" showInputMessage="1" showErrorMessage="1" sqref="D13">
      <formula1>1</formula1>
      <formula2>99</formula2>
    </dataValidation>
    <dataValidation type="decimal" allowBlank="1" showInputMessage="1" showErrorMessage="1" sqref="D11:D12">
      <formula1>0.01</formula1>
      <formula2>999999</formula2>
    </dataValidation>
  </dataValidation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
  <sheetViews>
    <sheetView workbookViewId="0">
      <selection activeCell="C4" sqref="C4"/>
    </sheetView>
  </sheetViews>
  <sheetFormatPr defaultRowHeight="12.75" x14ac:dyDescent="0.2"/>
  <cols>
    <col min="3" max="3" width="68.28515625" style="29" customWidth="1"/>
  </cols>
  <sheetData>
    <row r="2" spans="2:3" x14ac:dyDescent="0.2">
      <c r="B2" t="s">
        <v>53</v>
      </c>
    </row>
    <row r="3" spans="2:3" ht="38.25" x14ac:dyDescent="0.2">
      <c r="C3" s="29" t="s">
        <v>54</v>
      </c>
    </row>
  </sheetData>
  <sheetProtection sheet="1"/>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TaxCalc</vt:lpstr>
      <vt:lpstr>Instructions</vt:lpstr>
      <vt:lpstr>AddlFed</vt:lpstr>
      <vt:lpstr>AddlVT</vt:lpstr>
      <vt:lpstr>FedMarried</vt:lpstr>
      <vt:lpstr>FedMTaxes</vt:lpstr>
      <vt:lpstr>FedSingle</vt:lpstr>
      <vt:lpstr>FedStat</vt:lpstr>
      <vt:lpstr>FedSTaxes</vt:lpstr>
      <vt:lpstr>FedWages</vt:lpstr>
      <vt:lpstr>Gross</vt:lpstr>
      <vt:lpstr>Periods</vt:lpstr>
      <vt:lpstr>TaxCalc!Print_Area</vt:lpstr>
      <vt:lpstr>SSWages</vt:lpstr>
      <vt:lpstr>TotalDeds</vt:lpstr>
      <vt:lpstr>TotalTaxes</vt:lpstr>
      <vt:lpstr>VTMarried</vt:lpstr>
      <vt:lpstr>VTMTaxes</vt:lpstr>
      <vt:lpstr>VTSingle</vt:lpstr>
      <vt:lpstr>VTStat</vt:lpstr>
      <vt:lpstr>VTSTaxes</vt:lpstr>
      <vt:lpstr>VTWages</vt:lpstr>
    </vt:vector>
  </TitlesOfParts>
  <Company>SoV DoP 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Rouleau, Kathy</dc:creator>
  <cp:lastModifiedBy>Rouleau, Kathy</cp:lastModifiedBy>
  <cp:lastPrinted>2009-12-29T17:42:39Z</cp:lastPrinted>
  <dcterms:created xsi:type="dcterms:W3CDTF">2003-01-30T15:12:45Z</dcterms:created>
  <dcterms:modified xsi:type="dcterms:W3CDTF">2016-01-07T14:56:33Z</dcterms:modified>
</cp:coreProperties>
</file>